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ric_ham_maine_gov/Documents/Desktop/Culvert Replacement Grant/"/>
    </mc:Choice>
  </mc:AlternateContent>
  <xr:revisionPtr revIDLastSave="2" documentId="8_{70B79A77-55F4-4DB0-B431-6247C54C01A1}" xr6:coauthVersionLast="47" xr6:coauthVersionMax="47" xr10:uidLastSave="{364D1D34-A594-4D60-864F-D89F201037D5}"/>
  <bookViews>
    <workbookView xWindow="-585" yWindow="2370" windowWidth="32400" windowHeight="10995" xr2:uid="{A00B2A22-182E-4705-AB8C-A250DCD64986}"/>
  </bookViews>
  <sheets>
    <sheet name="SandyRvr-Att4 Co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K4" i="1"/>
  <c r="L4" i="1" s="1"/>
  <c r="K5" i="1"/>
  <c r="L5" i="1" s="1"/>
  <c r="K6" i="1"/>
  <c r="L6" i="1" s="1"/>
  <c r="K7" i="1"/>
  <c r="L7" i="1" s="1"/>
  <c r="K9" i="1"/>
  <c r="L9" i="1" s="1"/>
  <c r="K3" i="1"/>
  <c r="L3" i="1" s="1"/>
  <c r="G4" i="1"/>
  <c r="G5" i="1"/>
  <c r="G6" i="1"/>
  <c r="G7" i="1"/>
  <c r="G8" i="1"/>
  <c r="G9" i="1"/>
  <c r="G3" i="1"/>
  <c r="N9" i="1" l="1"/>
  <c r="N7" i="1"/>
  <c r="N4" i="1"/>
  <c r="N5" i="1"/>
  <c r="N6" i="1"/>
  <c r="N3" i="1"/>
  <c r="J8" i="1"/>
  <c r="K8" i="1" s="1"/>
  <c r="L8" i="1" s="1"/>
  <c r="I11" i="1"/>
  <c r="N8" i="1" l="1"/>
  <c r="G11" i="1"/>
  <c r="H9" i="1"/>
  <c r="H8" i="1"/>
  <c r="H7" i="1"/>
  <c r="H6" i="1"/>
  <c r="H5" i="1"/>
  <c r="H4" i="1"/>
  <c r="H3" i="1"/>
  <c r="H11" i="1" l="1"/>
  <c r="K11" i="1" l="1"/>
  <c r="N11" i="1"/>
</calcChain>
</file>

<file path=xl/sharedStrings.xml><?xml version="1.0" encoding="utf-8"?>
<sst xmlns="http://schemas.openxmlformats.org/spreadsheetml/2006/main" count="47" uniqueCount="36">
  <si>
    <t>Costs</t>
  </si>
  <si>
    <t>Bundle ID</t>
  </si>
  <si>
    <t>Stream</t>
  </si>
  <si>
    <t>Asset Name</t>
  </si>
  <si>
    <t>MaineDOT Asset ID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</si>
  <si>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</si>
  <si>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Town</t>
  </si>
  <si>
    <t xml:space="preserve"> Pre-construction Cost Estimate in 2023 Dollars</t>
  </si>
  <si>
    <t>Construction Cost Estimate in 2023 Dollars</t>
  </si>
  <si>
    <t>Sandy River</t>
  </si>
  <si>
    <t>Barker Stream</t>
  </si>
  <si>
    <t>N/A</t>
  </si>
  <si>
    <t>Farmington</t>
  </si>
  <si>
    <t>Unnamed Tributary to Barker Stream</t>
  </si>
  <si>
    <t>Dickey Brook</t>
  </si>
  <si>
    <t>Avon Corner</t>
  </si>
  <si>
    <t>Avon</t>
  </si>
  <si>
    <t>Buck Brook</t>
  </si>
  <si>
    <t>COWON</t>
  </si>
  <si>
    <t>Freeman Twp</t>
  </si>
  <si>
    <t>Valley Brook</t>
  </si>
  <si>
    <t>Burbank Bridge</t>
  </si>
  <si>
    <t>Tributary to Black Brook</t>
  </si>
  <si>
    <t>Phillips</t>
  </si>
  <si>
    <t>Winter Brook</t>
  </si>
  <si>
    <t>Strong</t>
  </si>
  <si>
    <t>TOTAL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</si>
  <si>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MSHV = Maine Stream Habitat Viewer ID (https://webapps2.cgis-solutions.com/MaineStreamViewer/).</t>
    </r>
  </si>
  <si>
    <t>Match Source</t>
  </si>
  <si>
    <t>Total FY2022 Culvert AOP Request</t>
  </si>
  <si>
    <t>Non-Federal Match Amount in 2023 Dollars</t>
  </si>
  <si>
    <t>Match %</t>
  </si>
  <si>
    <t>Maine State Highway Fund</t>
  </si>
  <si>
    <t xml:space="preserve">Total Cost Estimate </t>
  </si>
  <si>
    <t>DMR/Town</t>
  </si>
  <si>
    <t>Federal Funds raised by Municpality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</si>
</sst>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9" fontId="2" fillId="0" borderId="11" xfId="1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CCE5-26CE-488B-A3AC-80050978AB28}">
  <sheetPr>
    <pageSetUpPr fitToPage="1"/>
  </sheetPr>
  <dimension ref="A1:O16"/>
  <sheetViews>
    <sheetView tabSelected="1" view="pageLayout" topLeftCell="A7" zoomScale="84" zoomScaleNormal="71" zoomScalePageLayoutView="84" workbookViewId="0">
      <selection activeCell="A13" sqref="A13:L13"/>
    </sheetView>
  </sheetViews>
  <sheetFormatPr defaultRowHeight="15" x14ac:dyDescent="0.25"/>
  <cols>
    <col min="4" max="4" width="9.85546875" customWidth="1"/>
    <col min="6" max="6" width="10.5703125" customWidth="1"/>
    <col min="7" max="7" width="10.140625" customWidth="1"/>
    <col min="8" max="8" width="11.140625" customWidth="1"/>
    <col min="9" max="9" width="12.85546875" customWidth="1"/>
    <col min="10" max="11" width="11.140625" customWidth="1"/>
    <col min="12" max="12" width="10.5703125" customWidth="1"/>
    <col min="13" max="13" width="10.85546875" customWidth="1"/>
    <col min="14" max="14" width="11.140625" customWidth="1"/>
    <col min="15" max="15" width="10.85546875" customWidth="1"/>
  </cols>
  <sheetData>
    <row r="1" spans="1:15" ht="19.5" thickBot="1" x14ac:dyDescent="0.3">
      <c r="A1" s="1"/>
      <c r="B1" s="1"/>
      <c r="C1" s="1"/>
      <c r="D1" s="1"/>
      <c r="E1" s="1"/>
      <c r="F1" s="1"/>
      <c r="G1" s="35" t="s">
        <v>0</v>
      </c>
      <c r="H1" s="36"/>
      <c r="I1" s="36"/>
      <c r="J1" s="37"/>
      <c r="K1" s="37"/>
      <c r="L1" s="37"/>
      <c r="M1" s="38"/>
      <c r="N1" s="38"/>
      <c r="O1" s="38"/>
    </row>
    <row r="2" spans="1:15" ht="78" thickTop="1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5" t="s">
        <v>8</v>
      </c>
      <c r="I2" s="5" t="s">
        <v>33</v>
      </c>
      <c r="J2" s="5" t="s">
        <v>35</v>
      </c>
      <c r="K2" s="16" t="s">
        <v>30</v>
      </c>
      <c r="L2" s="16" t="s">
        <v>31</v>
      </c>
      <c r="M2" s="16" t="s">
        <v>28</v>
      </c>
      <c r="N2" s="23" t="s">
        <v>29</v>
      </c>
    </row>
    <row r="3" spans="1:15" ht="45" customHeight="1" thickTop="1" thickBot="1" x14ac:dyDescent="0.3">
      <c r="A3" s="29" t="s">
        <v>9</v>
      </c>
      <c r="B3" s="6" t="s">
        <v>10</v>
      </c>
      <c r="C3" s="6" t="s">
        <v>11</v>
      </c>
      <c r="D3" s="6">
        <v>5358</v>
      </c>
      <c r="E3" s="6">
        <v>15215</v>
      </c>
      <c r="F3" s="6" t="s">
        <v>12</v>
      </c>
      <c r="G3" s="7">
        <f>I3*0.11</f>
        <v>187000</v>
      </c>
      <c r="H3" s="8">
        <f t="shared" ref="H3:H9" si="0">I3-G3</f>
        <v>1513000</v>
      </c>
      <c r="I3" s="9">
        <v>1700000</v>
      </c>
      <c r="J3" s="28">
        <v>0</v>
      </c>
      <c r="K3" s="17">
        <f>I3*0.2</f>
        <v>340000</v>
      </c>
      <c r="L3" s="21">
        <f>(K3/I3)</f>
        <v>0.2</v>
      </c>
      <c r="M3" s="17" t="s">
        <v>32</v>
      </c>
      <c r="N3" s="24">
        <f>(I3*0.8)</f>
        <v>1360000</v>
      </c>
    </row>
    <row r="4" spans="1:15" ht="52.5" thickTop="1" thickBot="1" x14ac:dyDescent="0.3">
      <c r="A4" s="30"/>
      <c r="B4" s="6" t="s">
        <v>13</v>
      </c>
      <c r="C4" s="6" t="s">
        <v>11</v>
      </c>
      <c r="D4" s="6">
        <v>46389</v>
      </c>
      <c r="E4" s="6">
        <v>15222</v>
      </c>
      <c r="F4" s="6" t="s">
        <v>12</v>
      </c>
      <c r="G4" s="7">
        <f t="shared" ref="G4:G9" si="1">I4*0.11</f>
        <v>104500</v>
      </c>
      <c r="H4" s="10">
        <f t="shared" si="0"/>
        <v>845500</v>
      </c>
      <c r="I4" s="10">
        <v>950000</v>
      </c>
      <c r="J4" s="10">
        <v>0</v>
      </c>
      <c r="K4" s="17">
        <f t="shared" ref="K4:K9" si="2">I4*0.2</f>
        <v>190000</v>
      </c>
      <c r="L4" s="21">
        <f t="shared" ref="L4:L9" si="3">(K4/I4)</f>
        <v>0.2</v>
      </c>
      <c r="M4" s="17" t="s">
        <v>32</v>
      </c>
      <c r="N4" s="24">
        <f t="shared" ref="N4:N6" si="4">(I4*0.8)</f>
        <v>760000</v>
      </c>
    </row>
    <row r="5" spans="1:15" ht="39.75" thickTop="1" thickBot="1" x14ac:dyDescent="0.3">
      <c r="A5" s="30"/>
      <c r="B5" s="6" t="s">
        <v>14</v>
      </c>
      <c r="C5" s="6" t="s">
        <v>15</v>
      </c>
      <c r="D5" s="6">
        <v>2028</v>
      </c>
      <c r="E5" s="6">
        <v>15129</v>
      </c>
      <c r="F5" s="6" t="s">
        <v>16</v>
      </c>
      <c r="G5" s="7">
        <f t="shared" si="1"/>
        <v>242000</v>
      </c>
      <c r="H5" s="10">
        <f t="shared" si="0"/>
        <v>1958000</v>
      </c>
      <c r="I5" s="10">
        <v>2200000</v>
      </c>
      <c r="J5" s="10">
        <v>0</v>
      </c>
      <c r="K5" s="17">
        <f t="shared" si="2"/>
        <v>440000</v>
      </c>
      <c r="L5" s="21">
        <f t="shared" si="3"/>
        <v>0.2</v>
      </c>
      <c r="M5" s="17" t="s">
        <v>32</v>
      </c>
      <c r="N5" s="24">
        <f t="shared" si="4"/>
        <v>1760000</v>
      </c>
    </row>
    <row r="6" spans="1:15" ht="39.75" thickTop="1" thickBot="1" x14ac:dyDescent="0.3">
      <c r="A6" s="30"/>
      <c r="B6" s="6" t="s">
        <v>17</v>
      </c>
      <c r="C6" s="6" t="s">
        <v>18</v>
      </c>
      <c r="D6" s="6">
        <v>3678</v>
      </c>
      <c r="E6" s="6">
        <v>15078</v>
      </c>
      <c r="F6" s="6" t="s">
        <v>19</v>
      </c>
      <c r="G6" s="7">
        <f t="shared" si="1"/>
        <v>242000</v>
      </c>
      <c r="H6" s="10">
        <f t="shared" si="0"/>
        <v>1958000</v>
      </c>
      <c r="I6" s="10">
        <v>2200000</v>
      </c>
      <c r="J6" s="10">
        <v>0</v>
      </c>
      <c r="K6" s="17">
        <f t="shared" si="2"/>
        <v>440000</v>
      </c>
      <c r="L6" s="21">
        <f t="shared" si="3"/>
        <v>0.2</v>
      </c>
      <c r="M6" s="17" t="s">
        <v>32</v>
      </c>
      <c r="N6" s="24">
        <f t="shared" si="4"/>
        <v>1760000</v>
      </c>
    </row>
    <row r="7" spans="1:15" ht="39.75" thickTop="1" thickBot="1" x14ac:dyDescent="0.3">
      <c r="A7" s="30"/>
      <c r="B7" s="6" t="s">
        <v>20</v>
      </c>
      <c r="C7" s="6" t="s">
        <v>21</v>
      </c>
      <c r="D7" s="6">
        <v>3677</v>
      </c>
      <c r="E7" s="6">
        <v>15077</v>
      </c>
      <c r="F7" s="6" t="s">
        <v>19</v>
      </c>
      <c r="G7" s="7">
        <f t="shared" si="1"/>
        <v>275000</v>
      </c>
      <c r="H7" s="10">
        <f t="shared" si="0"/>
        <v>2225000</v>
      </c>
      <c r="I7" s="10">
        <v>2500000</v>
      </c>
      <c r="J7" s="10">
        <v>0</v>
      </c>
      <c r="K7" s="17">
        <f t="shared" si="2"/>
        <v>500000</v>
      </c>
      <c r="L7" s="21">
        <f t="shared" si="3"/>
        <v>0.2</v>
      </c>
      <c r="M7" s="17" t="s">
        <v>32</v>
      </c>
      <c r="N7" s="24">
        <f>(I7*0.8)</f>
        <v>2000000</v>
      </c>
    </row>
    <row r="8" spans="1:15" ht="39.75" thickTop="1" thickBot="1" x14ac:dyDescent="0.3">
      <c r="A8" s="30"/>
      <c r="B8" s="6" t="s">
        <v>22</v>
      </c>
      <c r="C8" s="6" t="s">
        <v>11</v>
      </c>
      <c r="D8" s="6" t="s">
        <v>11</v>
      </c>
      <c r="E8" s="6">
        <v>15063</v>
      </c>
      <c r="F8" s="6" t="s">
        <v>23</v>
      </c>
      <c r="G8" s="7">
        <f t="shared" si="1"/>
        <v>109120</v>
      </c>
      <c r="H8" s="10">
        <f t="shared" si="0"/>
        <v>882880</v>
      </c>
      <c r="I8" s="10">
        <v>992000</v>
      </c>
      <c r="J8" s="10">
        <f>175000+37000</f>
        <v>212000</v>
      </c>
      <c r="K8" s="17">
        <f>(I8-J8)*0.2</f>
        <v>156000</v>
      </c>
      <c r="L8" s="21">
        <f>K8 /(I8-J8)</f>
        <v>0.2</v>
      </c>
      <c r="M8" s="18" t="s">
        <v>34</v>
      </c>
      <c r="N8" s="25">
        <f>(I8*0.8)-K8</f>
        <v>637600</v>
      </c>
    </row>
    <row r="9" spans="1:15" ht="39.75" thickTop="1" thickBot="1" x14ac:dyDescent="0.3">
      <c r="A9" s="30"/>
      <c r="B9" s="6" t="s">
        <v>24</v>
      </c>
      <c r="C9" s="6" t="s">
        <v>11</v>
      </c>
      <c r="D9" s="6">
        <v>1035636</v>
      </c>
      <c r="E9" s="6">
        <v>15202</v>
      </c>
      <c r="F9" s="6" t="s">
        <v>25</v>
      </c>
      <c r="G9" s="7">
        <f t="shared" si="1"/>
        <v>132000</v>
      </c>
      <c r="H9" s="11">
        <f t="shared" si="0"/>
        <v>1068000</v>
      </c>
      <c r="I9" s="11">
        <v>1200000</v>
      </c>
      <c r="J9" s="10">
        <v>0</v>
      </c>
      <c r="K9" s="17">
        <f t="shared" si="2"/>
        <v>240000</v>
      </c>
      <c r="L9" s="21">
        <f t="shared" si="3"/>
        <v>0.2</v>
      </c>
      <c r="M9" s="17" t="s">
        <v>32</v>
      </c>
      <c r="N9" s="26">
        <f>(I9*0.8)</f>
        <v>960000</v>
      </c>
    </row>
    <row r="10" spans="1:15" ht="15.75" thickBot="1" x14ac:dyDescent="0.3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9"/>
      <c r="L10" s="19"/>
      <c r="M10" s="19"/>
      <c r="N10" s="19"/>
    </row>
    <row r="11" spans="1:15" ht="15.75" thickBot="1" x14ac:dyDescent="0.3">
      <c r="A11" s="6"/>
      <c r="B11" s="6"/>
      <c r="C11" s="6"/>
      <c r="D11" s="6"/>
      <c r="E11" s="6"/>
      <c r="F11" s="14" t="s">
        <v>26</v>
      </c>
      <c r="G11" s="15">
        <f t="shared" ref="G11:I11" si="5">SUM(G3:G9)</f>
        <v>1291620</v>
      </c>
      <c r="H11" s="15">
        <f t="shared" si="5"/>
        <v>10450380</v>
      </c>
      <c r="I11" s="15">
        <f t="shared" si="5"/>
        <v>11742000</v>
      </c>
      <c r="J11" s="15"/>
      <c r="K11" s="15">
        <f>SUM(K3:K9)</f>
        <v>2306000</v>
      </c>
      <c r="L11" s="22"/>
      <c r="M11" s="22"/>
      <c r="N11" s="15">
        <f>SUM(N3:N9)</f>
        <v>9237600</v>
      </c>
    </row>
    <row r="12" spans="1:15" x14ac:dyDescent="0.25">
      <c r="A12" s="31" t="s">
        <v>27</v>
      </c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  <c r="N12" s="32"/>
      <c r="O12" s="32"/>
    </row>
    <row r="13" spans="1:15" x14ac:dyDescent="0.25">
      <c r="A13" s="33">
        <f>A14</f>
        <v>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6"/>
      <c r="N13" s="6"/>
      <c r="O13" s="6"/>
    </row>
    <row r="14" spans="1:1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20"/>
      <c r="L14" s="6"/>
      <c r="M14" s="6"/>
      <c r="N14" s="6"/>
      <c r="O14" s="6"/>
    </row>
    <row r="15" spans="1:15" x14ac:dyDescent="0.25">
      <c r="A15" s="6"/>
      <c r="B15" s="6"/>
      <c r="C15" s="6"/>
      <c r="D15" s="6"/>
      <c r="E15" s="6"/>
      <c r="F15" s="6"/>
      <c r="G15" s="6"/>
      <c r="H15" s="6"/>
      <c r="I15" s="6"/>
      <c r="J15" s="27"/>
      <c r="K15" s="20"/>
      <c r="L15" s="6"/>
      <c r="M15" s="6"/>
      <c r="N15" s="6"/>
      <c r="O15" s="6"/>
    </row>
    <row r="16" spans="1:15" x14ac:dyDescent="0.25">
      <c r="A16" s="6"/>
      <c r="B16" s="6"/>
      <c r="C16" s="6"/>
      <c r="D16" s="6"/>
      <c r="E16" s="6"/>
      <c r="F16" s="6"/>
      <c r="G16" s="6"/>
      <c r="H16" s="27"/>
      <c r="I16" s="27"/>
      <c r="J16" s="6"/>
      <c r="K16" s="20"/>
      <c r="L16" s="6"/>
      <c r="M16" s="6"/>
      <c r="N16" s="6"/>
      <c r="O16" s="6"/>
    </row>
  </sheetData>
  <mergeCells count="4">
    <mergeCell ref="A3:A9"/>
    <mergeCell ref="A12:O12"/>
    <mergeCell ref="A13:L13"/>
    <mergeCell ref="G1:O1"/>
  </mergeCells>
  <printOptions gridLines="1"/>
  <pageMargins left="0.25" right="0.25" top="1.214375" bottom="0.75" header="0.3" footer="0.3"/>
  <pageSetup scale="85" orientation="landscape" r:id="rId1"/>
  <headerFooter>
    <oddHeader>&amp;C&amp;"Times New Roman,Regular"Attachment 4 - Project Costs
MaineDOT &amp; DMR FY2022 Culvert AOP Application  
February 6,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SandyRvr-Att4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jugates.Updater</dc:creator>
  <cp:lastModifiedBy>Ham, Eric</cp:lastModifiedBy>
  <cp:lastPrinted>2023-02-06T11:59:38Z</cp:lastPrinted>
  <dcterms:created xsi:type="dcterms:W3CDTF">2023-01-25T13:11:49Z</dcterms:created>
  <dcterms:modified xsi:type="dcterms:W3CDTF">2023-02-06T17:43:09Z</dcterms:modified>
</cp:coreProperties>
</file>